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9040" windowHeight="15840"/>
  </bookViews>
  <sheets>
    <sheet name="Utilisation de recherchev" sheetId="5" r:id="rId1"/>
    <sheet name="INV-0001" sheetId="1" r:id="rId2"/>
    <sheet name="Base clients" sheetId="2" r:id="rId3"/>
  </sheets>
  <definedNames>
    <definedName name="clients">'Base clients'!$A$1:$O$11</definedName>
    <definedName name="Table_produits" localSheetId="0">'Utilisation de recherchev'!$F$2:$I$5</definedName>
    <definedName name="Table_produits">#REF!</definedName>
    <definedName name="_xlnm.Print_Area" localSheetId="1">'INV-0001'!$A$1:$H$39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5" l="1"/>
  <c r="B11" i="5"/>
  <c r="B9" i="5"/>
  <c r="B10" i="5"/>
  <c r="B4" i="5"/>
  <c r="B3" i="5"/>
  <c r="N12" i="1"/>
  <c r="N11" i="1"/>
  <c r="N10" i="1"/>
  <c r="N7" i="1"/>
  <c r="N6" i="1"/>
  <c r="N5" i="1"/>
  <c r="N4" i="1"/>
  <c r="N3" i="1"/>
  <c r="F12" i="1" l="1"/>
  <c r="H38" i="1" s="1"/>
  <c r="N16" i="1"/>
  <c r="F21" i="1" s="1"/>
  <c r="H21" i="1" s="1"/>
  <c r="N15" i="1"/>
  <c r="N14" i="1"/>
  <c r="F19" i="1" s="1"/>
  <c r="H19" i="1" s="1"/>
  <c r="N13" i="1"/>
  <c r="A21" i="1" s="1"/>
  <c r="A20" i="1"/>
  <c r="A19" i="1"/>
  <c r="A22" i="1"/>
  <c r="H22" i="1"/>
  <c r="F14" i="1"/>
  <c r="N9" i="1"/>
  <c r="N8" i="1"/>
  <c r="B29" i="1" s="1"/>
  <c r="B13" i="1"/>
  <c r="B12" i="1"/>
  <c r="B11" i="1"/>
  <c r="B10" i="1"/>
  <c r="B37" i="1"/>
  <c r="B38" i="1"/>
  <c r="B39" i="1"/>
  <c r="B40" i="1"/>
  <c r="G24" i="1" l="1"/>
  <c r="G19" i="1"/>
  <c r="B9" i="1"/>
  <c r="H37" i="1" s="1"/>
  <c r="F20" i="1"/>
  <c r="H20" i="1" s="1"/>
  <c r="H23" i="1" s="1"/>
  <c r="H24" i="1" s="1"/>
  <c r="F10" i="1"/>
  <c r="G20" i="1"/>
  <c r="G21" i="1"/>
  <c r="H40" i="1" l="1"/>
  <c r="H25" i="1"/>
  <c r="H39" i="1" l="1"/>
</calcChain>
</file>

<file path=xl/sharedStrings.xml><?xml version="1.0" encoding="utf-8"?>
<sst xmlns="http://schemas.openxmlformats.org/spreadsheetml/2006/main" count="106" uniqueCount="83">
  <si>
    <t>INVOICE</t>
  </si>
  <si>
    <t>Attention : Comptabilité fournisseurs</t>
  </si>
  <si>
    <t>FRANCE</t>
  </si>
  <si>
    <t>Invoice Date</t>
  </si>
  <si>
    <t>Invoice Number</t>
  </si>
  <si>
    <t>Reference</t>
  </si>
  <si>
    <t>Description</t>
  </si>
  <si>
    <t>Quantity</t>
  </si>
  <si>
    <t>Unit Price</t>
  </si>
  <si>
    <t>Tax</t>
  </si>
  <si>
    <t>Amount EUR</t>
  </si>
  <si>
    <t>Subtotal</t>
  </si>
  <si>
    <t>TOTAL EUR</t>
  </si>
  <si>
    <t>Due date :</t>
  </si>
  <si>
    <t xml:space="preserve">Any delay in payment shall give rise, in accordance with Article L 441-6 of the French Commercial Code, to compensation calculated </t>
  </si>
  <si>
    <t>on the basis of three times the legal interest rate in force and a lump-sum compensation for recovery costs of EUR 40</t>
  </si>
  <si>
    <t>PAYMENT ADVICE</t>
  </si>
  <si>
    <t>Customer</t>
  </si>
  <si>
    <t>Amount Due</t>
  </si>
  <si>
    <t>Due date</t>
  </si>
  <si>
    <t>Raison sociale</t>
  </si>
  <si>
    <t>Taux de taxe</t>
  </si>
  <si>
    <t>Adresse</t>
  </si>
  <si>
    <t>Complément</t>
  </si>
  <si>
    <t>Pays</t>
  </si>
  <si>
    <t>délai paiement</t>
  </si>
  <si>
    <t>N° client</t>
  </si>
  <si>
    <t>Ville et code postal</t>
  </si>
  <si>
    <t>Accounts department</t>
  </si>
  <si>
    <t>Web Services and development</t>
  </si>
  <si>
    <t>Exonération de la TVA selon l'article 259B du CGI</t>
  </si>
  <si>
    <t>United States</t>
  </si>
  <si>
    <t>Numéro</t>
  </si>
  <si>
    <t>Procédure :</t>
  </si>
  <si>
    <t>1 - Mettre le numéro de la facture dans le nom de l'onglet</t>
  </si>
  <si>
    <t>2 - Choisir le numéro de client (en haut à droite)</t>
  </si>
  <si>
    <t>To :</t>
  </si>
  <si>
    <t>Information complémentaire</t>
  </si>
  <si>
    <t>Produit 1</t>
  </si>
  <si>
    <t>Produit 2</t>
  </si>
  <si>
    <t>Produit 3</t>
  </si>
  <si>
    <t>Prix 1</t>
  </si>
  <si>
    <t>Prix 2</t>
  </si>
  <si>
    <t>Prix 3</t>
  </si>
  <si>
    <t>Délai de paiement</t>
  </si>
  <si>
    <t>3 - Mettre la référence</t>
  </si>
  <si>
    <t>4 - Mettre la date</t>
  </si>
  <si>
    <t>5 - Générer le PDF avec LOVE PDF</t>
  </si>
  <si>
    <t>July 2025</t>
  </si>
  <si>
    <t>ROSEN CORPORATION</t>
  </si>
  <si>
    <t>35000 RENNES</t>
  </si>
  <si>
    <t>Société des Entreprises Mécaniques</t>
  </si>
  <si>
    <t>PARAMOULE SARL</t>
  </si>
  <si>
    <t>58, avenue Alfred Sauvy</t>
  </si>
  <si>
    <t>NEWYORK 10001</t>
  </si>
  <si>
    <t>9, rue robots</t>
  </si>
  <si>
    <t>5415 Ogletown Road, # 1487</t>
  </si>
  <si>
    <t>Prototype services 1</t>
  </si>
  <si>
    <t>Prototype services 2</t>
  </si>
  <si>
    <t>Prototype services 3</t>
  </si>
  <si>
    <t>34470 MONTPELLIER</t>
  </si>
  <si>
    <t>Additional services: specific development</t>
  </si>
  <si>
    <t>Référence recherchée :</t>
  </si>
  <si>
    <t>Code produit</t>
  </si>
  <si>
    <t>Nom</t>
  </si>
  <si>
    <t>Prix (€)</t>
  </si>
  <si>
    <t>Stock</t>
  </si>
  <si>
    <t>Stylo</t>
  </si>
  <si>
    <t>Cahier</t>
  </si>
  <si>
    <t>Classeur</t>
  </si>
  <si>
    <t>Prix</t>
  </si>
  <si>
    <t>Crayon</t>
  </si>
  <si>
    <t>Désignation produit</t>
  </si>
  <si>
    <t>Résultat de la recherche avec l'argument FAUX :</t>
  </si>
  <si>
    <t>Résultat de la recherche avec l'argument VRAI
(par défaut) :</t>
  </si>
  <si>
    <t>Utilisation de la fonction RECHERCHEV()</t>
  </si>
  <si>
    <r>
      <t xml:space="preserve"> =RECHERCHEV(</t>
    </r>
    <r>
      <rPr>
        <sz val="16"/>
        <color rgb="FFFF0000"/>
        <rFont val="Calibri"/>
        <family val="2"/>
        <scheme val="minor"/>
      </rPr>
      <t>valeur_cherchée</t>
    </r>
    <r>
      <rPr>
        <sz val="16"/>
        <color theme="9" tint="-0.499984740745262"/>
        <rFont val="Calibri"/>
        <family val="2"/>
        <scheme val="minor"/>
      </rPr>
      <t xml:space="preserve"> ; </t>
    </r>
    <r>
      <rPr>
        <sz val="16"/>
        <color rgb="FFFF0000"/>
        <rFont val="Calibri"/>
        <family val="2"/>
        <scheme val="minor"/>
      </rPr>
      <t>table_matrice</t>
    </r>
    <r>
      <rPr>
        <sz val="16"/>
        <color theme="9" tint="-0.499984740745262"/>
        <rFont val="Calibri"/>
        <family val="2"/>
        <scheme val="minor"/>
      </rPr>
      <t xml:space="preserve"> ; </t>
    </r>
    <r>
      <rPr>
        <sz val="16"/>
        <color rgb="FFFF0000"/>
        <rFont val="Calibri"/>
        <family val="2"/>
        <scheme val="minor"/>
      </rPr>
      <t>no_index_col</t>
    </r>
    <r>
      <rPr>
        <sz val="16"/>
        <color theme="9" tint="-0.499984740745262"/>
        <rFont val="Calibri"/>
        <family val="2"/>
        <scheme val="minor"/>
      </rPr>
      <t xml:space="preserve"> ; </t>
    </r>
    <r>
      <rPr>
        <sz val="16"/>
        <color rgb="FFFF0000"/>
        <rFont val="Calibri"/>
        <family val="2"/>
        <scheme val="minor"/>
      </rPr>
      <t>valeur_proche : VRAI ou FAUX</t>
    </r>
    <r>
      <rPr>
        <sz val="16"/>
        <color theme="9" tint="-0.499984740745262"/>
        <rFont val="Calibri"/>
        <family val="2"/>
        <scheme val="minor"/>
      </rPr>
      <t>)</t>
    </r>
  </si>
  <si>
    <t>=RECHERCHEV(B1;Table_produits;4;FAUX)</t>
  </si>
  <si>
    <t>=RECHERCHEV(B1;Table_produits;3;FAUX)</t>
  </si>
  <si>
    <t>=RECHERCHEV(B1;Table_produits;2;FAUX)</t>
  </si>
  <si>
    <t>=RECHERCHEV(B1;F2:I5;4)</t>
  </si>
  <si>
    <t>=RECHERCHEV(B1;Table_produits;2)</t>
  </si>
  <si>
    <t>=RECHERCHEV(B1;Table_produits;3)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</si>
</sst>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dd\ mmm\ yyyy"/>
    <numFmt numFmtId="165" formatCode="#,##0_ ;[Red]\-#,##0\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6"/>
      <color theme="1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8"/>
      <color theme="9" tint="-0.499984740745262"/>
      <name val="Calibri"/>
      <family val="2"/>
      <scheme val="minor"/>
    </font>
    <font>
      <sz val="16"/>
      <color theme="9" tint="-0.499984740745262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/>
      <right/>
      <top style="mediumDashed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dashed">
        <color theme="2" tint="-9.9948118533890809E-2"/>
      </top>
      <bottom/>
      <diagonal/>
    </border>
    <border>
      <left style="thin">
        <color auto="1"/>
      </left>
      <right style="thin">
        <color theme="4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quotePrefix="1" applyFont="1" applyAlignment="1">
      <alignment horizontal="left" vertical="center" indent="1"/>
    </xf>
    <xf numFmtId="0" fontId="5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9" fontId="0" fillId="0" borderId="0" xfId="0" applyNumberFormat="1" applyAlignment="1">
      <alignment vertical="center"/>
    </xf>
    <xf numFmtId="0" fontId="1" fillId="0" borderId="4" xfId="0" applyFont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" fillId="2" borderId="0" xfId="0" applyNumberFormat="1" applyFont="1" applyFill="1" applyAlignment="1">
      <alignment horizontal="left" vertical="top"/>
    </xf>
    <xf numFmtId="165" fontId="2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65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right" vertical="center"/>
    </xf>
    <xf numFmtId="165" fontId="8" fillId="0" borderId="3" xfId="0" applyNumberFormat="1" applyFont="1" applyBorder="1" applyAlignment="1">
      <alignment vertical="center"/>
    </xf>
    <xf numFmtId="165" fontId="7" fillId="0" borderId="3" xfId="0" applyNumberFormat="1" applyFont="1" applyBorder="1" applyAlignment="1">
      <alignment horizontal="right" vertical="center"/>
    </xf>
    <xf numFmtId="16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10" xfId="0" applyFont="1" applyBorder="1" applyAlignment="1">
      <alignment vertical="center"/>
    </xf>
    <xf numFmtId="165" fontId="8" fillId="0" borderId="10" xfId="0" applyNumberFormat="1" applyFont="1" applyBorder="1" applyAlignment="1">
      <alignment vertical="center"/>
    </xf>
    <xf numFmtId="8" fontId="8" fillId="0" borderId="10" xfId="0" applyNumberFormat="1" applyFont="1" applyBorder="1" applyAlignment="1">
      <alignment vertical="center"/>
    </xf>
    <xf numFmtId="8" fontId="8" fillId="0" borderId="3" xfId="0" applyNumberFormat="1" applyFont="1" applyBorder="1" applyAlignment="1">
      <alignment vertical="center"/>
    </xf>
    <xf numFmtId="8" fontId="8" fillId="0" borderId="0" xfId="0" applyNumberFormat="1" applyFont="1" applyAlignment="1">
      <alignment horizontal="left" vertical="center"/>
    </xf>
    <xf numFmtId="8" fontId="1" fillId="0" borderId="0" xfId="0" applyNumberFormat="1" applyFont="1" applyAlignment="1">
      <alignment vertical="center"/>
    </xf>
    <xf numFmtId="0" fontId="1" fillId="0" borderId="10" xfId="0" applyFont="1" applyBorder="1" applyAlignment="1">
      <alignment vertical="center"/>
    </xf>
    <xf numFmtId="8" fontId="1" fillId="0" borderId="10" xfId="0" applyNumberFormat="1" applyFont="1" applyBorder="1" applyAlignment="1">
      <alignment vertical="center"/>
    </xf>
    <xf numFmtId="8" fontId="1" fillId="0" borderId="7" xfId="0" applyNumberFormat="1" applyFont="1" applyBorder="1" applyAlignment="1">
      <alignment vertical="center"/>
    </xf>
    <xf numFmtId="165" fontId="1" fillId="0" borderId="10" xfId="0" applyNumberFormat="1" applyFont="1" applyBorder="1" applyAlignment="1">
      <alignment vertical="center"/>
    </xf>
    <xf numFmtId="8" fontId="8" fillId="0" borderId="0" xfId="0" applyNumberFormat="1" applyFont="1" applyAlignment="1">
      <alignment vertical="center"/>
    </xf>
    <xf numFmtId="0" fontId="1" fillId="2" borderId="0" xfId="0" quotePrefix="1" applyFont="1" applyFill="1" applyAlignment="1">
      <alignment horizontal="left" vertical="center" indent="1"/>
    </xf>
    <xf numFmtId="8" fontId="1" fillId="0" borderId="9" xfId="0" applyNumberFormat="1" applyFont="1" applyBorder="1" applyAlignment="1">
      <alignment vertical="center"/>
    </xf>
    <xf numFmtId="8" fontId="0" fillId="0" borderId="0" xfId="0" applyNumberFormat="1" applyAlignment="1">
      <alignment vertical="center"/>
    </xf>
    <xf numFmtId="10" fontId="1" fillId="0" borderId="0" xfId="0" applyNumberFormat="1" applyFont="1" applyAlignment="1">
      <alignment vertical="center"/>
    </xf>
    <xf numFmtId="10" fontId="1" fillId="0" borderId="10" xfId="0" applyNumberFormat="1" applyFont="1" applyBorder="1" applyAlignment="1">
      <alignment vertical="center"/>
    </xf>
    <xf numFmtId="20" fontId="8" fillId="0" borderId="0" xfId="0" applyNumberFormat="1" applyFont="1" applyAlignment="1">
      <alignment vertical="center"/>
    </xf>
    <xf numFmtId="20" fontId="1" fillId="0" borderId="10" xfId="0" applyNumberFormat="1" applyFont="1" applyBorder="1" applyAlignment="1">
      <alignment vertical="center"/>
    </xf>
    <xf numFmtId="20" fontId="8" fillId="0" borderId="10" xfId="0" applyNumberFormat="1" applyFont="1" applyBorder="1" applyAlignment="1">
      <alignment vertical="center"/>
    </xf>
    <xf numFmtId="20" fontId="1" fillId="0" borderId="7" xfId="0" applyNumberFormat="1" applyFont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0" fontId="10" fillId="4" borderId="12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5" borderId="13" xfId="0" applyFont="1" applyFill="1" applyBorder="1" applyAlignment="1">
      <alignment vertical="center"/>
    </xf>
    <xf numFmtId="0" fontId="10" fillId="5" borderId="14" xfId="0" applyFont="1" applyFill="1" applyBorder="1" applyAlignment="1">
      <alignment vertical="center"/>
    </xf>
    <xf numFmtId="8" fontId="10" fillId="5" borderId="14" xfId="0" applyNumberFormat="1" applyFont="1" applyFill="1" applyBorder="1" applyAlignment="1">
      <alignment vertical="center"/>
    </xf>
    <xf numFmtId="0" fontId="10" fillId="5" borderId="15" xfId="0" applyFont="1" applyFill="1" applyBorder="1" applyAlignment="1">
      <alignment vertical="center"/>
    </xf>
    <xf numFmtId="0" fontId="11" fillId="6" borderId="16" xfId="0" applyFont="1" applyFill="1" applyBorder="1" applyAlignment="1">
      <alignment horizontal="centerContinuous" vertical="center"/>
    </xf>
    <xf numFmtId="0" fontId="12" fillId="6" borderId="16" xfId="0" applyFont="1" applyFill="1" applyBorder="1" applyAlignment="1">
      <alignment horizontal="centerContinuous" vertical="center"/>
    </xf>
    <xf numFmtId="0" fontId="10" fillId="3" borderId="16" xfId="0" applyFont="1" applyFill="1" applyBorder="1" applyAlignment="1">
      <alignment vertical="center"/>
    </xf>
    <xf numFmtId="0" fontId="10" fillId="4" borderId="16" xfId="0" applyFont="1" applyFill="1" applyBorder="1" applyAlignment="1">
      <alignment vertical="center"/>
    </xf>
    <xf numFmtId="8" fontId="10" fillId="4" borderId="16" xfId="0" applyNumberFormat="1" applyFont="1" applyFill="1" applyBorder="1" applyAlignment="1">
      <alignment vertical="center"/>
    </xf>
    <xf numFmtId="0" fontId="11" fillId="6" borderId="16" xfId="0" applyFont="1" applyFill="1" applyBorder="1" applyAlignment="1">
      <alignment horizontal="centerContinuous" vertical="center" wrapText="1"/>
    </xf>
    <xf numFmtId="0" fontId="14" fillId="0" borderId="0" xfId="0" quotePrefix="1" applyFont="1" applyAlignment="1">
      <alignment vertical="center" wrapText="1"/>
    </xf>
    <xf numFmtId="0" fontId="15" fillId="6" borderId="0" xfId="0" applyFont="1" applyFill="1" applyAlignment="1">
      <alignment horizontal="center" vertical="center"/>
    </xf>
    <xf numFmtId="20" fontId="10" fillId="0" borderId="0" xfId="0" applyNumberFormat="1" applyFont="1" applyAlignment="1">
      <alignment vertical="center"/>
    </xf>
    <xf numFmtId="20" fontId="12" fillId="6" borderId="16" xfId="0" applyNumberFormat="1" applyFont="1" applyFill="1" applyBorder="1" applyAlignment="1">
      <alignment horizontal="centerContinuous" vertical="center"/>
    </xf>
    <xf numFmtId="20" fontId="13" fillId="0" borderId="0" xfId="0" quotePrefix="1" applyNumberFormat="1" applyFont="1" applyAlignment="1">
      <alignment vertical="center"/>
    </xf>
    <xf numFmtId="20" fontId="0" fillId="0" borderId="0" xfId="0" applyNumberFormat="1" applyAlignment="1">
      <alignment vertical="center"/>
    </xf>
    <xf numFmtId="20" fontId="1" fillId="0" borderId="0" xfId="0" applyNumberFormat="1" applyFont="1" applyAlignment="1">
      <alignment vertical="center"/>
    </xf>
  </cellXfs>
  <cellStyles count="1">
    <cellStyle name="Normal" xfId="0" builtinId="0"/>
  </cellStyles>
  <dxfs count="6">
    <dxf>
      <font>
        <strike val="0"/>
        <outline val="0"/>
        <shadow val="0"/>
        <vertAlign val="baseline"/>
        <sz val="14"/>
        <color theme="1"/>
        <name val="Calibri"/>
        <scheme val="minor"/>
      </font>
      <fill>
        <patternFill patternType="solid">
          <fgColor indexed="64"/>
          <bgColor theme="2"/>
        </patternFill>
      </fill>
      <alignment vertical="center" textRotation="0" justifyLastLine="0" shrinkToFit="0" readingOrder="0"/>
      <border diagonalUp="0" diagonalDown="0">
        <left style="hair">
          <color auto="1"/>
        </left>
        <right/>
        <top/>
        <bottom/>
        <vertical style="hair">
          <color auto="1"/>
        </vertical>
        <horizontal/>
      </border>
    </dxf>
    <dxf>
      <font>
        <strike val="0"/>
        <outline val="0"/>
        <shadow val="0"/>
        <vertAlign val="baseline"/>
        <sz val="14"/>
        <color theme="1"/>
        <name val="Calibri"/>
        <scheme val="minor"/>
      </font>
      <numFmt numFmtId="12" formatCode="#,##0.00\ &quot;€&quot;;[Red]\-#,##0.00\ &quot;€&quot;"/>
      <fill>
        <patternFill patternType="solid">
          <fgColor indexed="64"/>
          <bgColor theme="2"/>
        </patternFill>
      </fill>
      <alignment vertical="center" textRotation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/>
      </border>
    </dxf>
    <dxf>
      <font>
        <strike val="0"/>
        <outline val="0"/>
        <shadow val="0"/>
        <vertAlign val="baseline"/>
        <sz val="14"/>
        <color theme="1"/>
        <name val="Calibri"/>
        <scheme val="minor"/>
      </font>
      <fill>
        <patternFill patternType="solid">
          <fgColor indexed="64"/>
          <bgColor theme="2"/>
        </patternFill>
      </fill>
      <alignment vertical="center" textRotation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/>
      </border>
    </dxf>
    <dxf>
      <font>
        <strike val="0"/>
        <outline val="0"/>
        <shadow val="0"/>
        <vertAlign val="baseline"/>
        <sz val="14"/>
        <color theme="1"/>
        <name val="Calibri"/>
        <scheme val="minor"/>
      </font>
      <fill>
        <patternFill patternType="solid">
          <fgColor indexed="64"/>
          <bgColor theme="2"/>
        </patternFill>
      </fill>
      <alignment vertical="center" textRotation="0" justifyLastLine="0" shrinkToFit="0" readingOrder="0"/>
      <border diagonalUp="0" diagonalDown="0">
        <left/>
        <right style="hair">
          <color auto="1"/>
        </right>
        <top/>
        <bottom/>
        <vertical style="hair">
          <color auto="1"/>
        </vertical>
        <horizontal/>
      </border>
    </dxf>
    <dxf>
      <font>
        <strike val="0"/>
        <outline val="0"/>
        <shadow val="0"/>
        <vertAlign val="baseline"/>
        <sz val="14"/>
        <color rgb="FF000000"/>
        <name val="Calibri"/>
        <scheme val="none"/>
      </font>
      <fill>
        <patternFill patternType="solid">
          <fgColor rgb="FF000000"/>
          <bgColor rgb="FFEEECE1"/>
        </patternFill>
      </fill>
      <alignment vertical="center" textRotation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883920</xdr:colOff>
      <xdr:row>0</xdr:row>
      <xdr:rowOff>0</xdr:rowOff>
    </xdr:from>
    <xdr:to>
      <xdr:col>7</xdr:col>
      <xdr:colOff>1470660</xdr:colOff>
      <xdr:row>6</xdr:row>
      <xdr:rowOff>243840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8320" y="0"/>
          <a:ext cx="1691640" cy="16916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eau13" displayName="Tableau13" ref="F1:I5" totalsRowShown="0" headerRowDxfId="5" dataDxfId="4">
  <autoFilter ref="F1:I5"/>
  <sortState ref="F2:I5">
    <sortCondition ref="F1:F5"/>
  </sortState>
  <tableColumns count="4">
    <tableColumn id="1" name="Code produit" dataDxfId="3"/>
    <tableColumn id="2" name="Nom" dataDxfId="2"/>
    <tableColumn id="3" name="Prix (€)" dataDxfId="1"/>
    <tableColumn id="4" name="Stock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D8" sqref="D8"/>
    </sheetView>
  </sheetViews>
  <sheetFormatPr baseColWidth="10" defaultColWidth="8.88671875" defaultRowHeight="37.799999999999997" customHeight="1" x14ac:dyDescent="0.3"/>
  <cols>
    <col min="1" max="1" width="38" style="7" customWidth="1"/>
    <col min="2" max="2" width="22.33203125" style="7" customWidth="1"/>
    <col min="3" max="3" width="8.88671875" style="7"/>
    <col min="4" max="4" width="68.33203125" style="7" customWidth="1"/>
    <col min="5" max="5" width="8.5546875" style="7" customWidth="1"/>
    <col min="6" max="9" width="17.21875" style="7" customWidth="1"/>
    <col min="10" max="16384" width="8.88671875" style="7"/>
  </cols>
  <sheetData>
    <row r="1" spans="1:9" ht="37.799999999999997" customHeight="1" x14ac:dyDescent="0.3">
      <c r="A1" s="54" t="s">
        <v>62</v>
      </c>
      <c r="B1" s="55">
        <v>103</v>
      </c>
      <c r="C1" s="56"/>
      <c r="D1" s="69" t="s">
        <v>75</v>
      </c>
      <c r="F1" s="57" t="s">
        <v>63</v>
      </c>
      <c r="G1" s="57" t="s">
        <v>64</v>
      </c>
      <c r="H1" s="57" t="s">
        <v>65</v>
      </c>
      <c r="I1" s="57" t="s">
        <v>66</v>
      </c>
    </row>
    <row r="2" spans="1:9" ht="37.799999999999997" customHeight="1" x14ac:dyDescent="0.3">
      <c r="A2" s="67" t="s">
        <v>74</v>
      </c>
      <c r="B2" s="63"/>
      <c r="C2" s="56"/>
      <c r="D2" s="68" t="s">
        <v>76</v>
      </c>
      <c r="F2" s="58">
        <v>101</v>
      </c>
      <c r="G2" s="59" t="s">
        <v>67</v>
      </c>
      <c r="H2" s="60">
        <v>1.2</v>
      </c>
      <c r="I2" s="61">
        <v>120</v>
      </c>
    </row>
    <row r="3" spans="1:9" ht="37.799999999999997" customHeight="1" x14ac:dyDescent="0.3">
      <c r="A3" s="64" t="s">
        <v>66</v>
      </c>
      <c r="B3" s="65">
        <f>VLOOKUP(B1,F2:I5,4)</f>
        <v>85</v>
      </c>
      <c r="C3" s="56"/>
      <c r="D3" s="72" t="s">
        <v>80</v>
      </c>
      <c r="F3" s="58">
        <v>102</v>
      </c>
      <c r="G3" s="59" t="s">
        <v>68</v>
      </c>
      <c r="H3" s="60">
        <v>2.5</v>
      </c>
      <c r="I3" s="61">
        <v>85</v>
      </c>
    </row>
    <row r="4" spans="1:9" ht="37.799999999999997" customHeight="1" x14ac:dyDescent="0.3">
      <c r="A4" s="64" t="s">
        <v>70</v>
      </c>
      <c r="B4" s="66">
        <f>VLOOKUP($B$1,Table_produits,3)</f>
        <v>2.5</v>
      </c>
      <c r="C4" s="56"/>
      <c r="D4" s="72" t="s">
        <v>82</v>
      </c>
      <c r="F4" s="58">
        <v>104</v>
      </c>
      <c r="G4" s="59" t="s">
        <v>69</v>
      </c>
      <c r="H4" s="60">
        <v>3.8</v>
      </c>
      <c r="I4" s="61">
        <v>60</v>
      </c>
    </row>
    <row r="5" spans="1:9" ht="37.799999999999997" customHeight="1" x14ac:dyDescent="0.3">
      <c r="A5" s="64" t="s">
        <v>72</v>
      </c>
      <c r="B5" s="65" t="str">
        <f>VLOOKUP($B$1,Table_produits,2)</f>
        <v>Cahier</v>
      </c>
      <c r="C5" s="56"/>
      <c r="D5" s="72" t="s">
        <v>81</v>
      </c>
      <c r="F5" s="58">
        <v>105</v>
      </c>
      <c r="G5" s="59" t="s">
        <v>71</v>
      </c>
      <c r="H5" s="60">
        <v>0.9</v>
      </c>
      <c r="I5" s="61">
        <v>200</v>
      </c>
    </row>
    <row r="6" spans="1:9" ht="37.799999999999997" customHeight="1" x14ac:dyDescent="0.3">
      <c r="C6" s="56"/>
      <c r="D6" s="70"/>
      <c r="E6" s="56"/>
      <c r="F6" s="56"/>
      <c r="G6" s="56"/>
      <c r="H6" s="56"/>
      <c r="I6" s="56"/>
    </row>
    <row r="7" spans="1:9" ht="37.799999999999997" customHeight="1" x14ac:dyDescent="0.3">
      <c r="A7" s="54" t="s">
        <v>62</v>
      </c>
      <c r="B7" s="55">
        <v>103</v>
      </c>
      <c r="C7" s="56"/>
      <c r="D7" s="70"/>
      <c r="E7" s="56"/>
      <c r="F7" s="56"/>
      <c r="G7" s="56"/>
      <c r="H7" s="56"/>
      <c r="I7" s="56"/>
    </row>
    <row r="8" spans="1:9" ht="37.799999999999997" customHeight="1" x14ac:dyDescent="0.3">
      <c r="A8" s="62" t="s">
        <v>73</v>
      </c>
      <c r="B8" s="71"/>
    </row>
    <row r="9" spans="1:9" ht="37.799999999999997" customHeight="1" x14ac:dyDescent="0.3">
      <c r="A9" s="64" t="s">
        <v>66</v>
      </c>
      <c r="B9" s="65" t="e">
        <f>VLOOKUP($B$7,Table_produits,4,FALSE)</f>
        <v>#N/A</v>
      </c>
      <c r="D9" s="72" t="s">
        <v>77</v>
      </c>
    </row>
    <row r="10" spans="1:9" ht="37.799999999999997" customHeight="1" x14ac:dyDescent="0.3">
      <c r="A10" s="64" t="s">
        <v>70</v>
      </c>
      <c r="B10" s="66" t="e">
        <f>VLOOKUP($B$7,Table_produits,3,FALSE)</f>
        <v>#N/A</v>
      </c>
      <c r="D10" s="72" t="s">
        <v>78</v>
      </c>
      <c r="G10" s="73"/>
    </row>
    <row r="11" spans="1:9" ht="37.799999999999997" customHeight="1" x14ac:dyDescent="0.3">
      <c r="A11" s="64" t="s">
        <v>72</v>
      </c>
      <c r="B11" s="65" t="e">
        <f>VLOOKUP($B$7,Table_produits,2,FALSE)</f>
        <v>#N/A</v>
      </c>
      <c r="D11" s="72" t="s">
        <v>79</v>
      </c>
    </row>
    <row r="12" spans="1:9" ht="37.799999999999997" customHeight="1" x14ac:dyDescent="0.3">
      <c r="F12" s="73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2"/>
  <sheetViews>
    <sheetView showZeros="0" workbookViewId="0">
      <selection activeCell="K14" sqref="K14"/>
    </sheetView>
  </sheetViews>
  <sheetFormatPr baseColWidth="10" defaultColWidth="8.88671875" defaultRowHeight="18" customHeight="1" x14ac:dyDescent="0.3"/>
  <cols>
    <col min="1" max="1" width="11.21875" style="1" customWidth="1"/>
    <col min="2" max="2" width="14.109375" style="1" customWidth="1"/>
    <col min="3" max="3" width="8.88671875" style="1"/>
    <col min="4" max="4" width="10.5546875" style="1" customWidth="1"/>
    <col min="5" max="5" width="8.88671875" style="1"/>
    <col min="6" max="6" width="15.21875" style="1" bestFit="1" customWidth="1"/>
    <col min="7" max="7" width="16.109375" style="1" customWidth="1"/>
    <col min="8" max="8" width="23.21875" style="1" customWidth="1"/>
    <col min="9" max="12" width="8.88671875" style="1"/>
    <col min="13" max="13" width="16.5546875" style="1" bestFit="1" customWidth="1"/>
    <col min="14" max="14" width="45.109375" style="1" customWidth="1"/>
    <col min="15" max="16" width="8.88671875" style="1"/>
    <col min="17" max="17" width="9.6640625" style="1" bestFit="1" customWidth="1"/>
    <col min="18" max="16384" width="8.88671875" style="1"/>
  </cols>
  <sheetData>
    <row r="2" spans="1:17" ht="18" customHeight="1" x14ac:dyDescent="0.3">
      <c r="M2" s="9" t="s">
        <v>26</v>
      </c>
      <c r="N2" s="10">
        <v>2</v>
      </c>
    </row>
    <row r="3" spans="1:17" ht="18" customHeight="1" x14ac:dyDescent="0.3">
      <c r="M3" s="11" t="s">
        <v>20</v>
      </c>
      <c r="N3" s="53" t="str">
        <f>VLOOKUP($N$2,clients,2,FALSE)</f>
        <v>PARAMOULE SARL</v>
      </c>
    </row>
    <row r="4" spans="1:17" ht="18" customHeight="1" x14ac:dyDescent="0.3">
      <c r="M4" s="11" t="s">
        <v>22</v>
      </c>
      <c r="N4" s="12" t="str">
        <f>VLOOKUP($N$2,clients,3,FALSE)</f>
        <v>58, avenue Alfred Sauvy</v>
      </c>
    </row>
    <row r="5" spans="1:17" ht="18" customHeight="1" x14ac:dyDescent="0.3">
      <c r="M5" s="11" t="s">
        <v>23</v>
      </c>
      <c r="N5" s="12" t="str">
        <f>VLOOKUP($N$2,clients,4,FALSE)</f>
        <v>Attention : Comptabilité fournisseurs</v>
      </c>
    </row>
    <row r="6" spans="1:17" ht="24" customHeight="1" x14ac:dyDescent="0.3">
      <c r="M6" s="11" t="s">
        <v>27</v>
      </c>
      <c r="N6" s="12" t="str">
        <f>VLOOKUP($N$2,clients,5,FALSE)</f>
        <v>34470 MONTPELLIER</v>
      </c>
    </row>
    <row r="7" spans="1:17" ht="32.4" x14ac:dyDescent="0.3">
      <c r="A7" s="3" t="s">
        <v>0</v>
      </c>
      <c r="M7" s="11" t="s">
        <v>24</v>
      </c>
      <c r="N7" s="12" t="str">
        <f>VLOOKUP($N$2,clients,6,FALSE)</f>
        <v>FRANCE</v>
      </c>
    </row>
    <row r="8" spans="1:17" ht="18" customHeight="1" x14ac:dyDescent="0.3">
      <c r="A8" s="23"/>
      <c r="B8" s="23"/>
      <c r="C8" s="23"/>
      <c r="D8" s="23"/>
      <c r="E8" s="23"/>
      <c r="M8" s="11" t="s">
        <v>44</v>
      </c>
      <c r="N8" s="12">
        <f>VLOOKUP($N$2,clients,7)</f>
        <v>30</v>
      </c>
    </row>
    <row r="9" spans="1:17" ht="18" customHeight="1" x14ac:dyDescent="0.3">
      <c r="A9" s="23" t="s">
        <v>36</v>
      </c>
      <c r="B9" s="20" t="str">
        <f t="shared" ref="B9:B13" si="0">N3</f>
        <v>PARAMOULE SARL</v>
      </c>
      <c r="C9" s="23"/>
      <c r="D9" s="23"/>
      <c r="E9" s="23"/>
      <c r="F9" s="20" t="s">
        <v>3</v>
      </c>
      <c r="G9" s="23"/>
      <c r="H9" s="20" t="s">
        <v>49</v>
      </c>
      <c r="M9" s="11" t="s">
        <v>21</v>
      </c>
      <c r="N9" s="12">
        <f>VLOOKUP($N$2,clients,8)</f>
        <v>0.2</v>
      </c>
    </row>
    <row r="10" spans="1:17" ht="18" customHeight="1" x14ac:dyDescent="0.3">
      <c r="A10" s="23"/>
      <c r="B10" s="23" t="str">
        <f t="shared" si="0"/>
        <v>58, avenue Alfred Sauvy</v>
      </c>
      <c r="C10" s="23"/>
      <c r="D10" s="23"/>
      <c r="E10" s="23"/>
      <c r="F10" s="32">
        <f>N19</f>
        <v>45839</v>
      </c>
      <c r="G10" s="23"/>
      <c r="H10" s="23" t="s">
        <v>55</v>
      </c>
      <c r="M10" s="11" t="s">
        <v>37</v>
      </c>
      <c r="N10" s="12">
        <f>VLOOKUP($N$2,clients,9,FALSE)</f>
        <v>0</v>
      </c>
    </row>
    <row r="11" spans="1:17" ht="18" customHeight="1" x14ac:dyDescent="0.3">
      <c r="A11" s="23"/>
      <c r="B11" s="23" t="str">
        <f t="shared" si="0"/>
        <v>Attention : Comptabilité fournisseurs</v>
      </c>
      <c r="C11" s="23"/>
      <c r="D11" s="23"/>
      <c r="E11" s="23"/>
      <c r="F11" s="20" t="s">
        <v>4</v>
      </c>
      <c r="G11" s="23"/>
      <c r="H11" s="23" t="s">
        <v>50</v>
      </c>
      <c r="M11" s="11" t="s">
        <v>38</v>
      </c>
      <c r="N11" s="12" t="str">
        <f>VLOOKUP($N$2,clients,10,FALSE)</f>
        <v>Prototype services 1</v>
      </c>
    </row>
    <row r="12" spans="1:17" ht="18" customHeight="1" x14ac:dyDescent="0.3">
      <c r="A12" s="23"/>
      <c r="B12" s="23" t="str">
        <f t="shared" si="0"/>
        <v>34470 MONTPELLIER</v>
      </c>
      <c r="C12" s="23"/>
      <c r="D12" s="23"/>
      <c r="E12" s="23"/>
      <c r="F12" s="33" t="str">
        <f ca="1">RIGHT(CELL("nomfichier",A1),LEN(CELL("nomfichier",A1))-FIND("]",CELL("nomfichier",A1)))</f>
        <v>INV-0001</v>
      </c>
      <c r="G12" s="23"/>
      <c r="H12" s="23" t="s">
        <v>2</v>
      </c>
      <c r="M12" s="11" t="s">
        <v>39</v>
      </c>
      <c r="N12" s="12" t="str">
        <f>VLOOKUP($N$2,clients,11,FALSE)</f>
        <v>Prototype services 2</v>
      </c>
    </row>
    <row r="13" spans="1:17" ht="18" customHeight="1" x14ac:dyDescent="0.3">
      <c r="A13" s="23"/>
      <c r="B13" s="23" t="str">
        <f t="shared" si="0"/>
        <v>FRANCE</v>
      </c>
      <c r="C13" s="23"/>
      <c r="D13" s="23"/>
      <c r="E13" s="23"/>
      <c r="F13" s="20" t="s">
        <v>5</v>
      </c>
      <c r="G13" s="23"/>
      <c r="H13" s="23"/>
      <c r="M13" s="11" t="s">
        <v>40</v>
      </c>
      <c r="N13" s="12" t="str">
        <f>VLOOKUP($N$2,clients,12)</f>
        <v>Prototype services 3</v>
      </c>
    </row>
    <row r="14" spans="1:17" ht="18" customHeight="1" x14ac:dyDescent="0.3">
      <c r="A14" s="23"/>
      <c r="B14" s="23"/>
      <c r="C14" s="23"/>
      <c r="D14" s="23"/>
      <c r="E14" s="23"/>
      <c r="F14" s="33" t="str">
        <f>N18</f>
        <v>July 2025</v>
      </c>
      <c r="G14" s="50"/>
      <c r="H14" s="23"/>
      <c r="M14" s="11" t="s">
        <v>41</v>
      </c>
      <c r="N14" s="42">
        <f>VLOOKUP($N$2,clients,13)</f>
        <v>500</v>
      </c>
    </row>
    <row r="15" spans="1:17" ht="18" customHeight="1" x14ac:dyDescent="0.3">
      <c r="M15" s="11" t="s">
        <v>42</v>
      </c>
      <c r="N15" s="42">
        <f>VLOOKUP($N$2,clients,14)</f>
        <v>1000</v>
      </c>
    </row>
    <row r="16" spans="1:17" ht="18" customHeight="1" x14ac:dyDescent="0.3">
      <c r="M16" s="13" t="s">
        <v>43</v>
      </c>
      <c r="N16" s="46">
        <f>VLOOKUP($N$2,clients,15)</f>
        <v>2000</v>
      </c>
      <c r="Q16" s="39"/>
    </row>
    <row r="18" spans="1:14" ht="18" customHeight="1" x14ac:dyDescent="0.3">
      <c r="A18" s="26" t="s">
        <v>6</v>
      </c>
      <c r="B18" s="26"/>
      <c r="C18" s="26"/>
      <c r="D18" s="26"/>
      <c r="E18" s="27" t="s">
        <v>7</v>
      </c>
      <c r="F18" s="27" t="s">
        <v>8</v>
      </c>
      <c r="G18" s="27" t="s">
        <v>9</v>
      </c>
      <c r="H18" s="27" t="s">
        <v>10</v>
      </c>
      <c r="M18" s="16" t="s">
        <v>5</v>
      </c>
      <c r="N18" s="4" t="s">
        <v>48</v>
      </c>
    </row>
    <row r="19" spans="1:14" ht="18" customHeight="1" x14ac:dyDescent="0.3">
      <c r="A19" s="1" t="str">
        <f>$N$11</f>
        <v>Prototype services 1</v>
      </c>
      <c r="E19" s="43">
        <v>1</v>
      </c>
      <c r="F19" s="39">
        <f>N14</f>
        <v>500</v>
      </c>
      <c r="G19" s="48">
        <f>IF($E$19&gt;0,$N$9,"")</f>
        <v>0.2</v>
      </c>
      <c r="H19" s="39">
        <f>E19*F19</f>
        <v>500</v>
      </c>
      <c r="M19" s="16" t="s">
        <v>3</v>
      </c>
      <c r="N19" s="18">
        <v>45839</v>
      </c>
    </row>
    <row r="20" spans="1:14" ht="23.4" customHeight="1" x14ac:dyDescent="0.3">
      <c r="A20" s="40" t="str">
        <f>$N$12</f>
        <v>Prototype services 2</v>
      </c>
      <c r="B20" s="40"/>
      <c r="C20" s="40"/>
      <c r="D20" s="40"/>
      <c r="E20" s="43">
        <v>1</v>
      </c>
      <c r="F20" s="41">
        <f>N15</f>
        <v>1000</v>
      </c>
      <c r="G20" s="49">
        <f>IF($E$19&gt;0,$N$9,"")</f>
        <v>0.2</v>
      </c>
      <c r="H20" s="41">
        <f t="shared" ref="H20:H22" si="1">E20*F20</f>
        <v>1000</v>
      </c>
    </row>
    <row r="21" spans="1:14" ht="23.4" customHeight="1" x14ac:dyDescent="0.3">
      <c r="A21" s="40" t="str">
        <f>$N$13</f>
        <v>Prototype services 3</v>
      </c>
      <c r="B21" s="40"/>
      <c r="C21" s="40"/>
      <c r="D21" s="51"/>
      <c r="E21" s="43">
        <v>1</v>
      </c>
      <c r="F21" s="41">
        <f>N16</f>
        <v>2000</v>
      </c>
      <c r="G21" s="49">
        <f>IF($E$19&gt;0,$N$9,"")</f>
        <v>0.2</v>
      </c>
      <c r="H21" s="41">
        <f t="shared" si="1"/>
        <v>2000</v>
      </c>
    </row>
    <row r="22" spans="1:14" ht="23.4" customHeight="1" x14ac:dyDescent="0.3">
      <c r="A22" s="34">
        <f>$N$10</f>
        <v>0</v>
      </c>
      <c r="B22" s="34"/>
      <c r="C22" s="34"/>
      <c r="D22" s="34"/>
      <c r="E22" s="34"/>
      <c r="F22" s="36"/>
      <c r="G22" s="36"/>
      <c r="H22" s="36">
        <f t="shared" si="1"/>
        <v>0</v>
      </c>
      <c r="M22" s="6" t="s">
        <v>33</v>
      </c>
    </row>
    <row r="23" spans="1:14" ht="23.4" customHeight="1" x14ac:dyDescent="0.3">
      <c r="A23" s="52"/>
      <c r="B23" s="34"/>
      <c r="C23" s="34"/>
      <c r="D23" s="34"/>
      <c r="E23" s="34"/>
      <c r="F23" s="35"/>
      <c r="G23" s="35" t="s">
        <v>11</v>
      </c>
      <c r="H23" s="36">
        <f>SUM(H19:H21)</f>
        <v>3500</v>
      </c>
      <c r="I23" s="74"/>
      <c r="M23" s="5" t="s">
        <v>34</v>
      </c>
    </row>
    <row r="24" spans="1:14" ht="23.4" customHeight="1" x14ac:dyDescent="0.3">
      <c r="A24" s="23"/>
      <c r="B24" s="50"/>
      <c r="C24" s="23"/>
      <c r="D24" s="23"/>
      <c r="E24" s="23"/>
      <c r="F24" s="28"/>
      <c r="G24" s="29" t="str">
        <f>IF(N9=0.2,"TOTAL SALES TAX 20%","")</f>
        <v>TOTAL SALES TAX 20%</v>
      </c>
      <c r="H24" s="44">
        <f>IF(N9&gt;0,H23*N9,0)</f>
        <v>700</v>
      </c>
      <c r="M24" s="5" t="s">
        <v>35</v>
      </c>
    </row>
    <row r="25" spans="1:14" ht="23.4" customHeight="1" x14ac:dyDescent="0.3">
      <c r="A25" s="23"/>
      <c r="B25" s="23"/>
      <c r="C25" s="23"/>
      <c r="D25" s="23"/>
      <c r="E25" s="23"/>
      <c r="F25" s="30"/>
      <c r="G25" s="31" t="s">
        <v>12</v>
      </c>
      <c r="H25" s="37">
        <f>H23+H24</f>
        <v>4200</v>
      </c>
      <c r="M25" s="5" t="s">
        <v>45</v>
      </c>
    </row>
    <row r="26" spans="1:14" ht="23.4" customHeight="1" x14ac:dyDescent="0.3">
      <c r="F26" s="17"/>
      <c r="G26" s="19"/>
      <c r="H26" s="17"/>
      <c r="M26" s="5" t="s">
        <v>46</v>
      </c>
    </row>
    <row r="27" spans="1:14" ht="18" customHeight="1" x14ac:dyDescent="0.3">
      <c r="M27" s="45" t="s">
        <v>47</v>
      </c>
      <c r="N27" s="4"/>
    </row>
    <row r="29" spans="1:14" ht="18" customHeight="1" x14ac:dyDescent="0.3">
      <c r="A29" s="20" t="s">
        <v>13</v>
      </c>
      <c r="B29" s="21">
        <f>F10+N8</f>
        <v>45869</v>
      </c>
    </row>
    <row r="30" spans="1:14" ht="18" customHeight="1" x14ac:dyDescent="0.3">
      <c r="A30" s="1" t="s">
        <v>14</v>
      </c>
    </row>
    <row r="31" spans="1:14" ht="18" customHeight="1" x14ac:dyDescent="0.3">
      <c r="A31" s="1" t="s">
        <v>15</v>
      </c>
    </row>
    <row r="33" spans="1:8" ht="20.399999999999999" customHeight="1" x14ac:dyDescent="0.3"/>
    <row r="34" spans="1:8" ht="20.399999999999999" customHeight="1" thickBot="1" x14ac:dyDescent="0.35"/>
    <row r="35" spans="1:8" ht="18" customHeight="1" x14ac:dyDescent="0.3">
      <c r="A35" s="2"/>
      <c r="B35" s="2"/>
      <c r="C35" s="2"/>
      <c r="D35" s="2"/>
      <c r="E35" s="2"/>
      <c r="F35" s="2"/>
      <c r="G35" s="2"/>
      <c r="H35" s="2"/>
    </row>
    <row r="36" spans="1:8" ht="32.4" x14ac:dyDescent="0.3">
      <c r="A36" s="3" t="s">
        <v>16</v>
      </c>
    </row>
    <row r="37" spans="1:8" ht="27.6" customHeight="1" x14ac:dyDescent="0.3">
      <c r="A37" s="22" t="s">
        <v>36</v>
      </c>
      <c r="B37" s="23" t="str">
        <f>H9</f>
        <v>ROSEN CORPORATION</v>
      </c>
      <c r="C37" s="23"/>
      <c r="D37" s="23"/>
      <c r="E37" s="23"/>
      <c r="F37" s="23"/>
      <c r="G37" s="20" t="s">
        <v>17</v>
      </c>
      <c r="H37" s="24" t="str">
        <f>B9</f>
        <v>PARAMOULE SARL</v>
      </c>
    </row>
    <row r="38" spans="1:8" ht="27.6" customHeight="1" x14ac:dyDescent="0.3">
      <c r="A38" s="23"/>
      <c r="B38" s="23" t="str">
        <f>H10</f>
        <v>9, rue robots</v>
      </c>
      <c r="C38" s="23"/>
      <c r="D38" s="23"/>
      <c r="E38" s="23"/>
      <c r="F38" s="23"/>
      <c r="G38" s="20" t="s">
        <v>4</v>
      </c>
      <c r="H38" s="23" t="str">
        <f ca="1">F12</f>
        <v>INV-0001</v>
      </c>
    </row>
    <row r="39" spans="1:8" ht="27.6" customHeight="1" x14ac:dyDescent="0.3">
      <c r="A39" s="23"/>
      <c r="B39" s="23" t="str">
        <f>H11</f>
        <v>35000 RENNES</v>
      </c>
      <c r="C39" s="23"/>
      <c r="D39" s="23"/>
      <c r="E39" s="23"/>
      <c r="F39" s="23"/>
      <c r="G39" s="20" t="s">
        <v>18</v>
      </c>
      <c r="H39" s="38">
        <f>H25</f>
        <v>4200</v>
      </c>
    </row>
    <row r="40" spans="1:8" ht="27.6" customHeight="1" x14ac:dyDescent="0.3">
      <c r="A40" s="23"/>
      <c r="B40" s="23" t="str">
        <f>H12</f>
        <v>FRANCE</v>
      </c>
      <c r="C40" s="23"/>
      <c r="D40" s="23"/>
      <c r="E40" s="23"/>
      <c r="F40" s="23"/>
      <c r="G40" s="20" t="s">
        <v>19</v>
      </c>
      <c r="H40" s="25">
        <f>B29</f>
        <v>45869</v>
      </c>
    </row>
    <row r="41" spans="1:8" ht="30.6" customHeight="1" x14ac:dyDescent="0.3">
      <c r="A41" s="23"/>
      <c r="B41" s="23"/>
      <c r="C41" s="23"/>
      <c r="D41" s="23"/>
      <c r="E41" s="23"/>
      <c r="F41" s="23"/>
      <c r="G41" s="20"/>
      <c r="H41" s="23"/>
    </row>
    <row r="42" spans="1:8" ht="30.6" customHeight="1" x14ac:dyDescent="0.3"/>
  </sheetData>
  <phoneticPr fontId="6" type="noConversion"/>
  <printOptions horizontalCentered="1"/>
  <pageMargins left="0.47244094488188981" right="0.47244094488188981" top="0.74803149606299213" bottom="0.74803149606299213" header="0.31496062992125984" footer="0.31496062992125984"/>
  <pageSetup paperSize="9" scale="86" orientation="portrait" r:id="rId1"/>
  <headerFooter>
    <oddFooter>&amp;L&amp;"Arial,Normal"&amp;9Company Registration No: 843 406 046 R.C.S. Rennes - VAT : FR0843406046. Registered Office: 9, rue des robots RENNES 35000, France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10" sqref="B10"/>
    </sheetView>
  </sheetViews>
  <sheetFormatPr baseColWidth="10" defaultRowHeight="14.4" x14ac:dyDescent="0.3"/>
  <cols>
    <col min="1" max="1" width="11.5546875" style="7"/>
    <col min="2" max="2" width="25" style="7" customWidth="1"/>
    <col min="3" max="3" width="25" style="7" bestFit="1" customWidth="1"/>
    <col min="4" max="4" width="33.5546875" style="7" bestFit="1" customWidth="1"/>
    <col min="5" max="5" width="17.6640625" style="7" bestFit="1" customWidth="1"/>
    <col min="6" max="6" width="12.44140625" style="7" bestFit="1" customWidth="1"/>
    <col min="7" max="7" width="14" style="7" bestFit="1" customWidth="1"/>
    <col min="8" max="8" width="11.77734375" style="7" bestFit="1" customWidth="1"/>
    <col min="9" max="16384" width="11.5546875" style="7"/>
  </cols>
  <sheetData>
    <row r="1" spans="1:15" ht="43.2" x14ac:dyDescent="0.3">
      <c r="A1" s="14" t="s">
        <v>32</v>
      </c>
      <c r="B1" s="14" t="s">
        <v>20</v>
      </c>
      <c r="C1" s="14" t="s">
        <v>22</v>
      </c>
      <c r="D1" s="14" t="s">
        <v>23</v>
      </c>
      <c r="E1" s="14" t="s">
        <v>27</v>
      </c>
      <c r="F1" s="14" t="s">
        <v>24</v>
      </c>
      <c r="G1" s="14" t="s">
        <v>25</v>
      </c>
      <c r="H1" s="14" t="s">
        <v>21</v>
      </c>
      <c r="I1" s="14" t="s">
        <v>37</v>
      </c>
      <c r="J1" s="14" t="s">
        <v>38</v>
      </c>
      <c r="K1" s="14" t="s">
        <v>39</v>
      </c>
      <c r="L1" s="14" t="s">
        <v>40</v>
      </c>
      <c r="M1" s="15" t="s">
        <v>41</v>
      </c>
      <c r="N1" s="15" t="s">
        <v>42</v>
      </c>
      <c r="O1" s="15" t="s">
        <v>43</v>
      </c>
    </row>
    <row r="2" spans="1:15" x14ac:dyDescent="0.3">
      <c r="A2" s="7">
        <v>1</v>
      </c>
      <c r="B2" s="7" t="s">
        <v>51</v>
      </c>
      <c r="C2" s="7" t="s">
        <v>56</v>
      </c>
      <c r="D2" s="7" t="s">
        <v>28</v>
      </c>
      <c r="E2" s="7" t="s">
        <v>54</v>
      </c>
      <c r="F2" s="7" t="s">
        <v>31</v>
      </c>
      <c r="G2" s="7">
        <v>30</v>
      </c>
      <c r="H2" s="8">
        <v>0</v>
      </c>
      <c r="I2" s="7" t="s">
        <v>30</v>
      </c>
      <c r="J2" s="7" t="s">
        <v>29</v>
      </c>
      <c r="K2" s="7" t="s">
        <v>61</v>
      </c>
      <c r="M2" s="47">
        <v>2500</v>
      </c>
      <c r="N2" s="47">
        <v>1000</v>
      </c>
      <c r="O2" s="47"/>
    </row>
    <row r="3" spans="1:15" x14ac:dyDescent="0.3">
      <c r="A3" s="7">
        <v>2</v>
      </c>
      <c r="B3" s="7" t="s">
        <v>52</v>
      </c>
      <c r="C3" s="7" t="s">
        <v>53</v>
      </c>
      <c r="D3" s="7" t="s">
        <v>1</v>
      </c>
      <c r="E3" s="7" t="s">
        <v>60</v>
      </c>
      <c r="F3" s="7" t="s">
        <v>2</v>
      </c>
      <c r="G3" s="7">
        <v>30</v>
      </c>
      <c r="H3" s="8">
        <v>0.2</v>
      </c>
      <c r="J3" s="7" t="s">
        <v>57</v>
      </c>
      <c r="K3" s="7" t="s">
        <v>58</v>
      </c>
      <c r="L3" s="7" t="s">
        <v>59</v>
      </c>
      <c r="M3" s="47">
        <v>500</v>
      </c>
      <c r="N3" s="47">
        <v>1000</v>
      </c>
      <c r="O3" s="47">
        <v>2000</v>
      </c>
    </row>
    <row r="4" spans="1:15" x14ac:dyDescent="0.3">
      <c r="A4" s="7">
        <v>3</v>
      </c>
    </row>
    <row r="5" spans="1:15" x14ac:dyDescent="0.3">
      <c r="A5" s="7">
        <v>4</v>
      </c>
    </row>
    <row r="6" spans="1:15" x14ac:dyDescent="0.3">
      <c r="A6" s="7">
        <v>5</v>
      </c>
    </row>
    <row r="7" spans="1:15" x14ac:dyDescent="0.3">
      <c r="A7" s="7">
        <v>6</v>
      </c>
    </row>
    <row r="8" spans="1:15" x14ac:dyDescent="0.3">
      <c r="A8" s="7">
        <v>7</v>
      </c>
    </row>
    <row r="9" spans="1:15" x14ac:dyDescent="0.3">
      <c r="A9" s="7">
        <v>8</v>
      </c>
    </row>
    <row r="10" spans="1:15" x14ac:dyDescent="0.3">
      <c r="A10" s="7">
        <v>9</v>
      </c>
    </row>
    <row r="11" spans="1:15" x14ac:dyDescent="0.3">
      <c r="A11" s="7">
        <v>10</v>
      </c>
    </row>
  </sheetData>
  <phoneticPr fontId="6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Utilisation de recherchev</vt:lpstr>
      <vt:lpstr>INV-0001</vt:lpstr>
      <vt:lpstr>Base clients</vt:lpstr>
      <vt:lpstr>clients</vt:lpstr>
      <vt:lpstr>'Utilisation de recherchev'!Table_produits</vt:lpstr>
      <vt:lpstr>'INV-0001'!Zone_d_impression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Fromager</dc:creator>
  <cp:lastModifiedBy>Pascal Fromager</cp:lastModifiedBy>
  <cp:lastPrinted>2025-07-08T08:47:44Z</cp:lastPrinted>
  <dcterms:created xsi:type="dcterms:W3CDTF">2015-06-05T18:19:34Z</dcterms:created>
  <dcterms:modified xsi:type="dcterms:W3CDTF">2025-09-22T19:58:11Z</dcterms:modified>
</cp:coreProperties>
</file>